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9675" windowHeight="49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H11" i="1" s="1"/>
  <c r="J5" i="1"/>
  <c r="I5" i="1"/>
  <c r="E11" i="1"/>
  <c r="I3" i="1" l="1"/>
  <c r="J3" i="1"/>
  <c r="G3" i="1"/>
  <c r="J2" i="1"/>
  <c r="H3" i="1"/>
  <c r="D11" i="1"/>
  <c r="J11" i="1" s="1"/>
  <c r="I11" i="1" s="1"/>
  <c r="C17" i="1" s="1"/>
  <c r="G2" i="1"/>
  <c r="E3" i="1"/>
  <c r="F3" i="1"/>
  <c r="C11" i="1"/>
  <c r="F11" i="1" s="1"/>
  <c r="D2" i="1"/>
  <c r="C3" i="1"/>
  <c r="B3" i="1"/>
  <c r="D3" i="1" l="1"/>
  <c r="B11" i="1" s="1"/>
  <c r="G11" i="1" s="1"/>
  <c r="B17" i="1" s="1"/>
</calcChain>
</file>

<file path=xl/sharedStrings.xml><?xml version="1.0" encoding="utf-8"?>
<sst xmlns="http://schemas.openxmlformats.org/spreadsheetml/2006/main" count="28" uniqueCount="28">
  <si>
    <t>mitric</t>
    <phoneticPr fontId="1" type="noConversion"/>
  </si>
  <si>
    <t>N</t>
    <phoneticPr fontId="1" type="noConversion"/>
  </si>
  <si>
    <t>Diamiter/mm</t>
    <phoneticPr fontId="1" type="noConversion"/>
  </si>
  <si>
    <t>Height/mm</t>
    <phoneticPr fontId="1" type="noConversion"/>
  </si>
  <si>
    <t>D of wire/mm</t>
    <phoneticPr fontId="1" type="noConversion"/>
  </si>
  <si>
    <t>Sepration/mm</t>
    <phoneticPr fontId="1" type="noConversion"/>
  </si>
  <si>
    <t>Resistivity/Ω·m</t>
    <phoneticPr fontId="1" type="noConversion"/>
  </si>
  <si>
    <t>L/uH</t>
    <phoneticPr fontId="1" type="noConversion"/>
  </si>
  <si>
    <t>Length of wire/mm</t>
    <phoneticPr fontId="1" type="noConversion"/>
  </si>
  <si>
    <t>Resiatance/Ω</t>
    <phoneticPr fontId="1" type="noConversion"/>
  </si>
  <si>
    <t>Insulation thickness/mm</t>
    <phoneticPr fontId="1" type="noConversion"/>
  </si>
  <si>
    <t>C-S Area/sqrmm</t>
    <phoneticPr fontId="1" type="noConversion"/>
  </si>
  <si>
    <t>Xl/Ω</t>
    <phoneticPr fontId="1" type="noConversion"/>
  </si>
  <si>
    <t>Freq/kHz</t>
    <phoneticPr fontId="1" type="noConversion"/>
  </si>
  <si>
    <t>Permitbility/ H/m</t>
    <phoneticPr fontId="1" type="noConversion"/>
  </si>
  <si>
    <t xml:space="preserve"> skin depth/mm</t>
    <phoneticPr fontId="1" type="noConversion"/>
  </si>
  <si>
    <t>AC Resistance/ Ω</t>
    <phoneticPr fontId="1" type="noConversion"/>
  </si>
  <si>
    <t>Valued CSA</t>
    <phoneticPr fontId="1" type="noConversion"/>
  </si>
  <si>
    <t>Q</t>
    <phoneticPr fontId="1" type="noConversion"/>
  </si>
  <si>
    <t>AC Q</t>
    <phoneticPr fontId="1" type="noConversion"/>
  </si>
  <si>
    <t>unit</t>
    <phoneticPr fontId="1" type="noConversion"/>
  </si>
  <si>
    <t>empiror/inch</t>
    <phoneticPr fontId="1" type="noConversion"/>
  </si>
  <si>
    <t>Ctop/pf</t>
    <phoneticPr fontId="1" type="noConversion"/>
  </si>
  <si>
    <t>Cint/pf</t>
    <phoneticPr fontId="1" type="noConversion"/>
  </si>
  <si>
    <t>Freqmin/Khz</t>
    <phoneticPr fontId="1" type="noConversion"/>
  </si>
  <si>
    <t>Chosen F(1-input 2-calc)</t>
    <phoneticPr fontId="1" type="noConversion"/>
  </si>
  <si>
    <t>Fcalc</t>
    <phoneticPr fontId="1" type="noConversion"/>
  </si>
  <si>
    <t>F config (1 or 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</si>
</sst>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85" zoomScaleNormal="85" workbookViewId="0">
      <selection activeCell="E7" sqref="E7"/>
    </sheetView>
  </sheetViews>
  <sheetFormatPr defaultRowHeight="13.5" x14ac:dyDescent="0.15"/>
  <cols>
    <col min="1" max="1" width="12.5" customWidth="1"/>
    <col min="2" max="2" width="10.5" customWidth="1"/>
    <col min="3" max="3" width="16.375" customWidth="1"/>
    <col min="4" max="4" width="13" customWidth="1"/>
    <col min="5" max="5" width="11.625" customWidth="1"/>
    <col min="6" max="6" width="12.25" customWidth="1"/>
    <col min="7" max="7" width="15.875" customWidth="1"/>
    <col min="8" max="8" width="22" customWidth="1"/>
    <col min="9" max="9" width="15.625" customWidth="1"/>
    <col min="10" max="10" width="17" customWidth="1"/>
  </cols>
  <sheetData>
    <row r="1" spans="1:11" ht="54" customHeight="1" x14ac:dyDescent="0.15">
      <c r="A1" t="s">
        <v>20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10</v>
      </c>
      <c r="I1" t="s">
        <v>13</v>
      </c>
      <c r="J1" t="s">
        <v>14</v>
      </c>
      <c r="K1" t="s">
        <v>22</v>
      </c>
    </row>
    <row r="2" spans="1:11" x14ac:dyDescent="0.15">
      <c r="A2" t="s">
        <v>0</v>
      </c>
      <c r="B2">
        <v>1000</v>
      </c>
      <c r="C2">
        <v>100</v>
      </c>
      <c r="D2" s="1">
        <f>(E2+F2)*B2</f>
        <v>1000</v>
      </c>
      <c r="E2">
        <v>1</v>
      </c>
      <c r="F2">
        <v>0</v>
      </c>
      <c r="G2">
        <f>1.68*10^-8</f>
        <v>1.6799999999999998E-8</v>
      </c>
      <c r="H2">
        <v>0</v>
      </c>
      <c r="I2">
        <v>1000</v>
      </c>
      <c r="J2">
        <f>1.256629*10^-6</f>
        <v>1.2566289999999999E-6</v>
      </c>
      <c r="K2">
        <v>150</v>
      </c>
    </row>
    <row r="3" spans="1:11" x14ac:dyDescent="0.15">
      <c r="A3" s="1" t="s">
        <v>21</v>
      </c>
      <c r="B3" s="1">
        <f>B2</f>
        <v>1000</v>
      </c>
      <c r="C3" s="1">
        <f>C2/25.4</f>
        <v>3.9370078740157481</v>
      </c>
      <c r="D3" s="1">
        <f>D2/25.4</f>
        <v>39.370078740157481</v>
      </c>
      <c r="E3" s="1">
        <f t="shared" ref="E3:F3" si="0">E2/25.4</f>
        <v>3.937007874015748E-2</v>
      </c>
      <c r="F3" s="1">
        <f t="shared" si="0"/>
        <v>0</v>
      </c>
      <c r="G3" s="1">
        <f t="shared" ref="G3:H3" si="1">G2/25.4</f>
        <v>6.6141732283464563E-10</v>
      </c>
      <c r="H3" s="1">
        <f t="shared" si="1"/>
        <v>0</v>
      </c>
      <c r="I3" s="1">
        <f>I2</f>
        <v>1000</v>
      </c>
      <c r="J3" s="1">
        <f t="shared" ref="J3" si="2">J2/25.4</f>
        <v>4.9473582677165356E-8</v>
      </c>
    </row>
    <row r="4" spans="1:11" ht="30" customHeight="1" x14ac:dyDescent="0.15">
      <c r="G4" t="s">
        <v>27</v>
      </c>
      <c r="H4" s="1" t="s">
        <v>25</v>
      </c>
      <c r="I4" s="1" t="s">
        <v>24</v>
      </c>
      <c r="J4" s="1" t="s">
        <v>26</v>
      </c>
    </row>
    <row r="5" spans="1:11" x14ac:dyDescent="0.15">
      <c r="G5">
        <v>2</v>
      </c>
      <c r="H5" s="1">
        <f>IF(G5=1,I2,J5)</f>
        <v>128.48477209674962</v>
      </c>
      <c r="I5" s="1">
        <f>(1/(3.1415926*2*SQRT(B11*E11)))*1000000</f>
        <v>456.42241557490013</v>
      </c>
      <c r="J5" s="1">
        <f>(1/(3.1415926*2*SQRT(B11*(E11+K2)))*1000000)</f>
        <v>128.48477209674962</v>
      </c>
    </row>
    <row r="10" spans="1:11" x14ac:dyDescent="0.15">
      <c r="B10" s="1" t="s">
        <v>7</v>
      </c>
      <c r="C10" s="1" t="s">
        <v>8</v>
      </c>
      <c r="D10" s="1" t="s">
        <v>11</v>
      </c>
      <c r="E10" s="1" t="s">
        <v>23</v>
      </c>
      <c r="F10" s="1" t="s">
        <v>9</v>
      </c>
      <c r="G10" s="1" t="s">
        <v>12</v>
      </c>
      <c r="H10" s="1" t="s">
        <v>15</v>
      </c>
      <c r="I10" s="1" t="s">
        <v>16</v>
      </c>
      <c r="J10" s="1" t="s">
        <v>17</v>
      </c>
    </row>
    <row r="11" spans="1:11" x14ac:dyDescent="0.15">
      <c r="B11" s="1">
        <f>(B3^2*(C3/2)^2)/((9*C3/2)+(10*D3))</f>
        <v>9418.6791244395899</v>
      </c>
      <c r="C11" s="1">
        <f>3.1415926*(C2+E2)*B2</f>
        <v>317300.85259999998</v>
      </c>
      <c r="D11" s="1">
        <f>(3.1415926*((E2/2000)-(H2/1000))^2)*1000*1000</f>
        <v>0.78539815000000002</v>
      </c>
      <c r="E11" s="1">
        <f>5.08*(C3/2)/1*(0.0563*((D3/1)/((C3/2)/1))+0.08+0.38*SQRT(1/((D3/1)/((C3/2)/1))))</f>
        <v>12.909705831449923</v>
      </c>
      <c r="F11" s="1">
        <f>(((C11/1000)*G2)/D11)*1000000</f>
        <v>6.7871999999999986</v>
      </c>
      <c r="G11" s="1">
        <f>2*3.1415926*B11*I2/1000</f>
        <v>59179.305278227788</v>
      </c>
      <c r="H11" s="1">
        <f>SQRT((2*G2)/(H5*1000*2*3.1415926*J2))*1000</f>
        <v>0.18199117961391031</v>
      </c>
      <c r="I11" s="1">
        <f>IF(H11&gt;=(E2/2),"no skin effect",(((C11/1000)*G2)/J11)*1000000)</f>
        <v>11.397834036805808</v>
      </c>
      <c r="J11" s="1">
        <f>((D11/1000000)-(3.1415926*((E2/2000)-(H11/1000))^2))*1000000</f>
        <v>0.46769011607523731</v>
      </c>
    </row>
    <row r="16" spans="1:11" x14ac:dyDescent="0.15">
      <c r="B16" s="1" t="s">
        <v>18</v>
      </c>
      <c r="C16" s="1" t="s">
        <v>19</v>
      </c>
    </row>
    <row r="17" spans="2:3" x14ac:dyDescent="0.15">
      <c r="B17" s="1">
        <f>G11/F11</f>
        <v>8719.2517206252651</v>
      </c>
      <c r="C17" s="1">
        <f>IF(I11="no skin effect",B17,G11/I11)</f>
        <v>5192.1536220940206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2012-05-30T05:23:59Z</dcterms:created>
  <dcterms:modified xsi:type="dcterms:W3CDTF">2012-05-30T22:07:17Z</dcterms:modified>
</cp:coreProperties>
</file>